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6" activeTab="0"/>
  </bookViews>
  <sheets>
    <sheet name="2019-07-03 Jasper &gt; Edmonton" sheetId="1" r:id="rId1"/>
  </sheets>
  <definedNames>
    <definedName name="_xlnm.Print_Area" localSheetId="0">'2019-07-03 Jasper &gt; Edmonton'!$B$1:$I$128</definedName>
  </definedNames>
  <calcPr fullCalcOnLoad="1"/>
</workbook>
</file>

<file path=xl/sharedStrings.xml><?xml version="1.0" encoding="utf-8"?>
<sst xmlns="http://schemas.openxmlformats.org/spreadsheetml/2006/main" count="161" uniqueCount="160">
  <si>
    <t>2019-07-03</t>
  </si>
  <si>
    <t>JASPER (12h30) &gt; EDMONTON (18h50)</t>
  </si>
  <si>
    <t>Mountain Time (GMT-6)</t>
  </si>
  <si>
    <t>PK côté Nord</t>
  </si>
  <si>
    <t>VIARAIL – Train n° 4</t>
  </si>
  <si>
    <t>6421+6446 + 16v (1 fourgon, 1 economy class de 1954, 14 de 1ère classe) ; V=113 (70 mph)</t>
  </si>
  <si>
    <t>H / MN / S</t>
  </si>
  <si>
    <t>MN</t>
  </si>
  <si>
    <t>S</t>
  </si>
  <si>
    <t>PK (miles)</t>
  </si>
  <si>
    <t>A...</t>
  </si>
  <si>
    <t>Vitesse moyenne</t>
  </si>
  <si>
    <t>JASPER (12h30)</t>
  </si>
  <si>
    <t>Retard 32,5mn</t>
  </si>
  <si>
    <t>arrêt n° 1</t>
  </si>
  <si>
    <t>(20mn58)</t>
  </si>
  <si>
    <t>arrêt n° 2</t>
  </si>
  <si>
    <t>Fin DV à Henry House 225,8</t>
  </si>
  <si>
    <t>(1h17mn10)</t>
  </si>
  <si>
    <t>14h36-42 : croisement fret mi-céréales mi-conteneurs (2+1 locos)</t>
  </si>
  <si>
    <t>Henry House</t>
  </si>
  <si>
    <t>Devona</t>
  </si>
  <si>
    <t>Début DV</t>
  </si>
  <si>
    <t>PK correct au panneau, selon 214,5 un peu plus loin</t>
  </si>
  <si>
    <t>15h27 à 30 : doublé 2 intermodal de suite, avec resp. 2 et 3 locos, toutes en tête comme d'habitude chez CN</t>
  </si>
  <si>
    <t>Park Gate</t>
  </si>
  <si>
    <t>Fin DV</t>
  </si>
  <si>
    <t>(circulée à droite pour ce double dépassement)</t>
  </si>
  <si>
    <t>15.35.01&gt;35.46 Brule Tunnel (204,9+ - 204,8) (735 ft) (non revêtu)</t>
  </si>
  <si>
    <t>~199</t>
  </si>
  <si>
    <t>Arrêt Swan Landing [199,4]</t>
  </si>
  <si>
    <t>Pour croisement train de citernes (16h04-07)</t>
  </si>
  <si>
    <t>(39mn41)</t>
  </si>
  <si>
    <t>16.09.35 : le train de charbon également garé part avant nous... Fin départ à 16.17.30</t>
  </si>
  <si>
    <t>Solomon</t>
  </si>
  <si>
    <t>Entrance [189,7]</t>
  </si>
  <si>
    <t>~188,9</t>
  </si>
  <si>
    <t>Arrêt Entrance [189,7]</t>
  </si>
  <si>
    <t>Pour croisement train de charbon + citernes 17.01.09-17.04.50</t>
  </si>
  <si>
    <t>(9mn24)</t>
  </si>
  <si>
    <t>arrêt n° 5 (en pleine voie)</t>
  </si>
  <si>
    <t>Croisé train de conteneurs, avec attente avant l'évitement (!)</t>
  </si>
  <si>
    <t>(38mn27)</t>
  </si>
  <si>
    <t>CUMUL DES ARRETS : 3h05mn40s (sur 4h49mn21s)</t>
  </si>
  <si>
    <t>Arrêt à le tête de l'évitement</t>
  </si>
  <si>
    <t>(1mn58)</t>
  </si>
  <si>
    <t>CUMUL DES ARRETS : 3h07mn38s (sur 4h56mn32s)</t>
  </si>
  <si>
    <t>Hinton (13h45)</t>
  </si>
  <si>
    <t>Retard 4h15</t>
  </si>
  <si>
    <t>PN ~ 181,7</t>
  </si>
  <si>
    <t>arrêt n° 7 (en pleine voie)</t>
  </si>
  <si>
    <t>(0mn29)</t>
  </si>
  <si>
    <t>CUMUL DES ARRETS : 3h08mn07s (sur 5h16mn21s)</t>
  </si>
  <si>
    <t>Pedley</t>
  </si>
  <si>
    <t>arrêt n° 8 (en pleine voie)</t>
  </si>
  <si>
    <t>(3mn28)</t>
  </si>
  <si>
    <t>CUMUL DES ARRETS : 3h11mn35s</t>
  </si>
  <si>
    <t>Dalehurst</t>
  </si>
  <si>
    <t>Début DV (circulée à droite)</t>
  </si>
  <si>
    <t>172,9 : connection to Obed Mountain coal (2.5 miles)</t>
  </si>
  <si>
    <t>Dans l'autre sens, en fin de DV, fret arrêté avant le PN pour ne pas le bloquer... et 2ème fret 200 m derrière le 1er, au signal suivant... et un 3ème (128 conteneurs) juste derrière, puis un 4ème (conteneurs) au MP 165, a priori après un canton vide.</t>
  </si>
  <si>
    <t>Info entendue : on a changé de conducteur, avec ½ h d'attente quelque part pour cela... et le nouveau conducteur a le droit de conduire jusqu'à minuit, pas plus !</t>
  </si>
  <si>
    <t>Les deux voies sont pleines dans les deux sens !</t>
  </si>
  <si>
    <t>arrêt n° 9 (en pleine voie)</t>
  </si>
  <si>
    <t>19.20.03 départ du 4ème train de sens contraire, passé entièrement à 19.24.58 (166 wagons, ¾ single stack, ¼ vides)</t>
  </si>
  <si>
    <t>(1h33mn54)</t>
  </si>
  <si>
    <t>20.07.33 Fin du passage d'un 5ème train (autos, vide). Logiquement, un 6ème train devrait venir à notre hauteur pour que nous puissions partir...</t>
  </si>
  <si>
    <t>(20h22)</t>
  </si>
  <si>
    <t xml:space="preserve"> « We've been basically sitting for most of the last few hours » dit un voyageur philosophe au téléphone... Là, nous sommes effectivement immobilisés depuis 1h19 !</t>
  </si>
  <si>
    <t>RETARD ACTUEL &gt; 6 h</t>
  </si>
  <si>
    <t>Autre commentaire : sur le « Corridor », VIA Rail se confond en excuses au moindre retard, mais ici... En pratique, on a vu les deux contrôleurs au tout début du voyage, mais plus depuis...</t>
  </si>
  <si>
    <t>(20h24)</t>
  </si>
  <si>
    <t>La responsable de la voiture-restaurant passe en disant « Last chance for the kitchen », et c'est la toute première info depuis le début du voyage (l'info ci-dessus était indirecte).</t>
  </si>
  <si>
    <t>arrêt n° 10 (en pleine voie)</t>
  </si>
  <si>
    <t>28.38.53 Fin du croisement du 6ème train, débuté à 20.34.05. La vitesse suggère que nous sommes précédés...</t>
  </si>
  <si>
    <t>(0mn23)</t>
  </si>
  <si>
    <t>Canton devant nous sans doute tardivement dégagé...</t>
  </si>
  <si>
    <t>Hargwen</t>
  </si>
  <si>
    <t>Voie franchement médiocre à cette vitesse...</t>
  </si>
  <si>
    <t>On doit se rapprocher du train devant ?</t>
  </si>
  <si>
    <t>Pas tant que ça finalement...</t>
  </si>
  <si>
    <t>Ah si... Quasi-arrêt !</t>
  </si>
  <si>
    <t>Galloway</t>
  </si>
  <si>
    <t>Début DV, circulée à droite ; feu jaune/rouge/rouge franchi à l'entrée</t>
  </si>
  <si>
    <t>V stable</t>
  </si>
  <si>
    <t>Croisé fret (avant PN...) 21.12.48 à 21.13.36 (relativement court)</t>
  </si>
  <si>
    <t>On ralentit à 5 km de la fin de la DV : logique, fret devant... mais ce qui est bizarre, c'est qu'on ne croise rien et qu'on ne s'arrête pas non plus ! Peut se comprendre s''il y avait 2 voire 3 frets devant, gênés par le fret qu'on vient de croiser...</t>
  </si>
  <si>
    <t>Bickerdike West</t>
  </si>
  <si>
    <t>Fin DV... mais plateforme DV (côté Nord).</t>
  </si>
  <si>
    <t>Bickerdike East</t>
  </si>
  <si>
    <t>Depuis le début, on n'a couvert que 19,7 miles (32 km) sur 98 (158 km) à plus de 80 km/h : il n'y a pas que les arrêts...</t>
  </si>
  <si>
    <t>Big Eddy [135,7]</t>
  </si>
  <si>
    <t>Début DV (fin à Edson West [130,1])</t>
  </si>
  <si>
    <t>Comme précédemment, on ralentit bien avant la fin de la DV.</t>
  </si>
  <si>
    <t>Croisé fret (conteneurs) 21.41.40-21.45.44</t>
  </si>
  <si>
    <t>arrêt n° 11 (en pleine voie)</t>
  </si>
  <si>
    <t>(2mn28)</t>
  </si>
  <si>
    <t>Arrêt assez court, le fret croisé doit être le seul... mais le redémarrage est bizarrement lent !</t>
  </si>
  <si>
    <t>arrêt n° 12 (en pleine voie)</t>
  </si>
  <si>
    <t>Effectivement, nouvel arrêt...</t>
  </si>
  <si>
    <t>(24mn37)</t>
  </si>
  <si>
    <t>21h57-22h01 : un agent VIA Rail (qui s'auto-proclamera plus tard « radio tech ») passe dans les deux sens... sans dire un mot. OK, sa fonction ne l'oriente pas vers l'information des voyageurs, mais où est passé le chef de train ?</t>
  </si>
  <si>
    <t>Ah si, finalement, à 22h06, juste après la montée à bord de 2 « gilets orange » à la fonction indéterminée, il nous annonce qu'on arrivera vers 1 h d u matin... en mode « sorry to tell you », tout de même. A la radio, il annonce (à qui ?) que les portes sont fermées et que le train est prêt à repartir...</t>
  </si>
  <si>
    <t>arrêt n° 13 (en pleine voie)</t>
  </si>
  <si>
    <t>A peu près 500 m plus loin... et sans doute juste après avoir dégagé le PN devant lequel a eu lieu l'arrêt précédent...</t>
  </si>
  <si>
    <t>(2h05mn39)</t>
  </si>
  <si>
    <t>22h30 : extinction des lumières... C'est l'heure de dormir !</t>
  </si>
  <si>
    <t>Le plus hallucinant à ce stade est personne n'a réellement protesté jusqu'à présent. Certes, il n'y a que des touristes forcément peu pressés dans ce train, mais on imagine les comportements en France dans les mêmes circonstances...</t>
  </si>
  <si>
    <t>00.06.21 Croisé fret... 1er événement depuis 22h30 ! Ce qui est bizarre c'est qu'on occupe l'une des deux voies de circulation...</t>
  </si>
  <si>
    <t>00.21.10 Croisé fret (loc CN 3212 en tête). Dans le train, tout le monde a compris qu'on allait y passer la nuit (ça évite à VIA Rail de devoir payer des nuits d'hôtel...) et s'installe pour dormir...</t>
  </si>
  <si>
    <t>Edson (15h19)</t>
  </si>
  <si>
    <t>Evansburg (16h28)</t>
  </si>
  <si>
    <t>Ci-dessous, arrivée à Edmonton en circulation à droite.</t>
  </si>
  <si>
    <t>04.01.15 Croisé fret (intermodal, loc 2335 en tête)</t>
  </si>
  <si>
    <t>04.20.12 Croisé fret (lotissement)</t>
  </si>
  <si>
    <t>Arrêt pour refoulement 04.28.40/32.40 (4mn00)</t>
  </si>
  <si>
    <t>EDMONTON (18h50)</t>
  </si>
  <si>
    <t>Retard 9h57 (retard initial 32,5 mn)</t>
  </si>
  <si>
    <t>Temps de parcours prévu 6h20, réel 15h44mn10</t>
  </si>
  <si>
    <t>&lt;&lt;&lt; Distance (miles)</t>
  </si>
  <si>
    <t>&lt;&lt;&lt; Vitesse moyenne réelle (mph)</t>
  </si>
  <si>
    <t>&lt;&lt;&lt; Distance (km)</t>
  </si>
  <si>
    <t>&lt;&lt;&lt; Vitesse moyenne réelle (km/h)</t>
  </si>
  <si>
    <t>&lt;&lt;&lt; Vitesse moyenne théorique (mph)</t>
  </si>
  <si>
    <t>&lt;&lt;&lt; Vitesse moyenne théorique (km/h)</t>
  </si>
  <si>
    <t>Cumul des arrêts</t>
  </si>
  <si>
    <t>% du temps passé à l'arrêt...</t>
  </si>
  <si>
    <t>Arrêts :</t>
  </si>
  <si>
    <t>20mn58</t>
  </si>
  <si>
    <t>sur 26mn42</t>
  </si>
  <si>
    <t>1h38mn08</t>
  </si>
  <si>
    <t>sur 120mn30</t>
  </si>
  <si>
    <t>(entre</t>
  </si>
  <si>
    <t>2h17mn49</t>
  </si>
  <si>
    <t>sur 3h34mn01</t>
  </si>
  <si>
    <t>Jasper</t>
  </si>
  <si>
    <t>2h27mn13</t>
  </si>
  <si>
    <t>sur 4h04mn36</t>
  </si>
  <si>
    <t>et</t>
  </si>
  <si>
    <t>5</t>
  </si>
  <si>
    <t>3h05mn40</t>
  </si>
  <si>
    <t>sur 4h49mn21</t>
  </si>
  <si>
    <t>Hudson)</t>
  </si>
  <si>
    <t>3h07mn38</t>
  </si>
  <si>
    <t>sur 4h56mn32</t>
  </si>
  <si>
    <t>3h08mn07</t>
  </si>
  <si>
    <t>sur 5h16mn21</t>
  </si>
  <si>
    <t>3h11mn35</t>
  </si>
  <si>
    <t>sur 5h32mn18</t>
  </si>
  <si>
    <t>4h45mn29</t>
  </si>
  <si>
    <t>sur 6h34mn33</t>
  </si>
  <si>
    <t>10</t>
  </si>
  <si>
    <t>4h45mn52</t>
  </si>
  <si>
    <t>sur 7h45mn40</t>
  </si>
  <si>
    <t>4h48mn20</t>
  </si>
  <si>
    <t>sur 8h42mn35</t>
  </si>
  <si>
    <t>5h12mn57</t>
  </si>
  <si>
    <t>sur 9h12mn19</t>
  </si>
  <si>
    <t>7h18mn36</t>
  </si>
  <si>
    <t>sur 11h22mn14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</si>
</sst>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00"/>
    <numFmt numFmtId="169" formatCode="0.0"/>
    <numFmt numFmtId="170" formatCode="DD/MM/YY"/>
  </numFmts>
  <fonts count="4"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4" fontId="1" fillId="0" borderId="0" xfId="0" applyFont="1" applyAlignment="1">
      <alignment horizontal="left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8" fontId="1" fillId="0" borderId="1" xfId="0" applyNumberFormat="1" applyFont="1" applyBorder="1" applyAlignment="1">
      <alignment horizontal="center" vertical="center"/>
    </xf>
    <xf numFmtId="169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7" fontId="1" fillId="4" borderId="1" xfId="0" applyNumberFormat="1" applyFont="1" applyFill="1" applyBorder="1" applyAlignment="1">
      <alignment horizontal="center" vertical="center"/>
    </xf>
    <xf numFmtId="167" fontId="3" fillId="5" borderId="1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 vertical="center"/>
    </xf>
    <xf numFmtId="166" fontId="1" fillId="0" borderId="1" xfId="0" applyNumberFormat="1" applyFont="1" applyBorder="1" applyAlignment="1">
      <alignment horizontal="center" vertical="center"/>
    </xf>
    <xf numFmtId="167" fontId="1" fillId="5" borderId="1" xfId="0" applyNumberFormat="1" applyFont="1" applyFill="1" applyBorder="1" applyAlignment="1">
      <alignment horizontal="center" vertical="center"/>
    </xf>
    <xf numFmtId="167" fontId="1" fillId="0" borderId="1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left" vertical="center"/>
    </xf>
    <xf numFmtId="170" fontId="1" fillId="0" borderId="0" xfId="0" applyNumberFormat="1" applyFont="1" applyAlignment="1">
      <alignment horizontal="left" vertical="center" wrapText="1"/>
    </xf>
    <xf numFmtId="164" fontId="1" fillId="2" borderId="0" xfId="0" applyFont="1" applyFill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8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Alignment="1">
      <alignment horizontal="center" vertical="center"/>
    </xf>
    <xf numFmtId="164" fontId="1" fillId="0" borderId="1" xfId="0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/>
    </xf>
    <xf numFmtId="166" fontId="1" fillId="6" borderId="0" xfId="0" applyNumberFormat="1" applyFont="1" applyFill="1" applyAlignment="1">
      <alignment horizontal="center" vertical="center"/>
    </xf>
    <xf numFmtId="165" fontId="1" fillId="6" borderId="0" xfId="0" applyNumberFormat="1" applyFont="1" applyFill="1" applyAlignment="1">
      <alignment horizontal="center" vertical="center"/>
    </xf>
    <xf numFmtId="169" fontId="1" fillId="6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40"/>
  <sheetViews>
    <sheetView tabSelected="1" workbookViewId="0" topLeftCell="A104">
      <selection activeCell="I114" sqref="I114"/>
    </sheetView>
  </sheetViews>
  <sheetFormatPr defaultColWidth="12.57421875" defaultRowHeight="12.75"/>
  <cols>
    <col min="1" max="1" width="2.57421875" style="1" customWidth="1"/>
    <col min="2" max="2" width="7.7109375" style="2" customWidth="1"/>
    <col min="3" max="4" width="3.8515625" style="2" customWidth="1"/>
    <col min="5" max="5" width="3.8515625" style="3" customWidth="1"/>
    <col min="6" max="6" width="10.140625" style="4" customWidth="1"/>
    <col min="7" max="7" width="25.28125" style="2" customWidth="1"/>
    <col min="8" max="8" width="10.140625" style="5" customWidth="1"/>
    <col min="9" max="9" width="51.00390625" style="6" customWidth="1"/>
    <col min="10" max="247" width="11.57421875" style="1" customWidth="1"/>
    <col min="248" max="16384" width="11.57421875" style="0" customWidth="1"/>
  </cols>
  <sheetData>
    <row r="1" spans="2:3" ht="12.75">
      <c r="B1" s="7"/>
      <c r="C1" s="8" t="s">
        <v>0</v>
      </c>
    </row>
    <row r="2" spans="2:11" ht="27.75" customHeight="1">
      <c r="B2" s="7"/>
      <c r="C2" s="9" t="s">
        <v>1</v>
      </c>
      <c r="D2" s="9"/>
      <c r="E2" s="9"/>
      <c r="F2" s="9"/>
      <c r="G2" s="9"/>
      <c r="H2" s="9"/>
      <c r="I2" s="6" t="s">
        <v>2</v>
      </c>
      <c r="K2" s="1" t="s">
        <v>3</v>
      </c>
    </row>
    <row r="3" ht="12.75">
      <c r="D3" s="10"/>
    </row>
    <row r="4" spans="4:8" ht="12.75">
      <c r="D4" s="11" t="s">
        <v>4</v>
      </c>
      <c r="E4" s="11"/>
      <c r="F4" s="11"/>
      <c r="G4" s="8" t="s">
        <v>5</v>
      </c>
      <c r="H4" s="12"/>
    </row>
    <row r="6" spans="2:9" s="13" customFormat="1" ht="25.5" customHeight="1">
      <c r="B6" s="14"/>
      <c r="C6" s="14" t="s">
        <v>6</v>
      </c>
      <c r="D6" s="14" t="s">
        <v>7</v>
      </c>
      <c r="E6" s="14" t="s">
        <v>8</v>
      </c>
      <c r="F6" s="15" t="s">
        <v>9</v>
      </c>
      <c r="G6" s="14" t="s">
        <v>10</v>
      </c>
      <c r="H6" s="16" t="s">
        <v>11</v>
      </c>
      <c r="I6" s="17"/>
    </row>
    <row r="8" spans="2:9" ht="12.75">
      <c r="B8" s="11"/>
      <c r="C8" s="18">
        <v>13</v>
      </c>
      <c r="D8" s="18">
        <v>2</v>
      </c>
      <c r="E8" s="18">
        <v>29</v>
      </c>
      <c r="F8" s="19">
        <f>235.6</f>
        <v>235.6</v>
      </c>
      <c r="G8" s="20" t="s">
        <v>12</v>
      </c>
      <c r="H8" s="21"/>
      <c r="I8" s="22" t="s">
        <v>13</v>
      </c>
    </row>
    <row r="9" spans="2:8" ht="12.75">
      <c r="B9" s="11"/>
      <c r="C9" s="18"/>
      <c r="D9" s="18">
        <v>8</v>
      </c>
      <c r="E9" s="18">
        <v>13</v>
      </c>
      <c r="F9" s="21"/>
      <c r="G9" s="23" t="s">
        <v>14</v>
      </c>
      <c r="H9" s="21"/>
    </row>
    <row r="10" spans="2:8" ht="12.75">
      <c r="B10" s="11"/>
      <c r="C10" s="18"/>
      <c r="D10" s="18">
        <v>29</v>
      </c>
      <c r="E10" s="18">
        <v>11</v>
      </c>
      <c r="F10" s="21"/>
      <c r="G10" s="23" t="s">
        <v>15</v>
      </c>
      <c r="H10" s="21"/>
    </row>
    <row r="11" spans="2:8" ht="12.75">
      <c r="B11" s="11"/>
      <c r="C11" s="18"/>
      <c r="D11" s="18">
        <v>32</v>
      </c>
      <c r="E11" s="18">
        <v>27</v>
      </c>
      <c r="F11" s="21">
        <v>234</v>
      </c>
      <c r="G11" s="11"/>
      <c r="H11" s="21"/>
    </row>
    <row r="12" spans="2:8" ht="12.75">
      <c r="B12" s="11"/>
      <c r="C12" s="18"/>
      <c r="D12" s="18">
        <v>41</v>
      </c>
      <c r="E12" s="18">
        <v>3</v>
      </c>
      <c r="F12" s="21">
        <v>229</v>
      </c>
      <c r="G12" s="24"/>
      <c r="H12" s="25">
        <f>1.609*(F11-F12)*3600/(60*(D12-D11)+(E12-E11))</f>
        <v>56.127906976744185</v>
      </c>
    </row>
    <row r="13" spans="2:8" ht="12.75">
      <c r="B13" s="11"/>
      <c r="C13" s="18"/>
      <c r="D13" s="18">
        <v>43</v>
      </c>
      <c r="E13" s="18">
        <v>0</v>
      </c>
      <c r="F13" s="21">
        <v>227</v>
      </c>
      <c r="G13" s="24"/>
      <c r="H13" s="26">
        <f>1.609*(F12-F13)*3600/(60*(D13-D12)+(E13-E12))</f>
        <v>99.0153846153846</v>
      </c>
    </row>
    <row r="14" spans="2:9" ht="12.75">
      <c r="B14" s="11"/>
      <c r="C14" s="18">
        <v>13</v>
      </c>
      <c r="D14" s="18">
        <v>45</v>
      </c>
      <c r="E14" s="18">
        <v>49</v>
      </c>
      <c r="F14" s="19">
        <f>226.1</f>
        <v>226.1</v>
      </c>
      <c r="G14" s="23" t="s">
        <v>16</v>
      </c>
      <c r="H14" s="21"/>
      <c r="I14" s="6" t="s">
        <v>17</v>
      </c>
    </row>
    <row r="15" spans="2:10" ht="12.75">
      <c r="B15" s="11"/>
      <c r="C15" s="18">
        <v>15</v>
      </c>
      <c r="D15" s="18">
        <v>2</v>
      </c>
      <c r="E15" s="18">
        <v>59</v>
      </c>
      <c r="F15" s="19"/>
      <c r="G15" s="23" t="s">
        <v>18</v>
      </c>
      <c r="H15" s="21"/>
      <c r="I15" s="27" t="s">
        <v>19</v>
      </c>
      <c r="J15" s="6"/>
    </row>
    <row r="16" spans="2:8" ht="12.75">
      <c r="B16" s="11"/>
      <c r="C16" s="18"/>
      <c r="D16" s="18">
        <v>3</v>
      </c>
      <c r="E16" s="18">
        <v>52</v>
      </c>
      <c r="F16" s="21">
        <f>226</f>
        <v>226</v>
      </c>
      <c r="G16" s="11"/>
      <c r="H16" s="21"/>
    </row>
    <row r="17" spans="2:8" ht="12.75">
      <c r="B17" s="11"/>
      <c r="C17" s="18"/>
      <c r="D17" s="18">
        <v>4</v>
      </c>
      <c r="E17" s="18">
        <v>25</v>
      </c>
      <c r="F17" s="19">
        <f>225.8</f>
        <v>225.8</v>
      </c>
      <c r="G17" s="11" t="s">
        <v>20</v>
      </c>
      <c r="H17" s="25">
        <f>1.609*(F16-F17)*3600/(60*(D17-D16)+(E17-E16))</f>
        <v>35.105454545452545</v>
      </c>
    </row>
    <row r="18" spans="2:8" ht="12.75">
      <c r="B18" s="11"/>
      <c r="C18" s="18"/>
      <c r="D18" s="18">
        <v>9</v>
      </c>
      <c r="E18" s="18">
        <v>0</v>
      </c>
      <c r="F18" s="28">
        <f>222.04</f>
        <v>222.04</v>
      </c>
      <c r="G18" s="11"/>
      <c r="H18" s="25">
        <f>1.609*(F17-F18)*3600/(60*(D18-D17)+(E18-E17))</f>
        <v>79.19790545454586</v>
      </c>
    </row>
    <row r="19" spans="2:8" ht="12.75">
      <c r="B19" s="11"/>
      <c r="C19" s="18"/>
      <c r="D19" s="18">
        <v>14</v>
      </c>
      <c r="E19" s="18">
        <v>21</v>
      </c>
      <c r="F19" s="28">
        <f>219.75</f>
        <v>219.75</v>
      </c>
      <c r="G19" s="11"/>
      <c r="H19" s="25">
        <f>1.609*(F18-F19)*3600/(60*(D19-D18)+(E19-E18))</f>
        <v>41.322728971962476</v>
      </c>
    </row>
    <row r="20" spans="2:10" ht="12.75">
      <c r="B20" s="11"/>
      <c r="C20" s="18"/>
      <c r="D20" s="18">
        <v>22</v>
      </c>
      <c r="E20" s="18">
        <v>13</v>
      </c>
      <c r="F20" s="19">
        <f>214.6</f>
        <v>214.6</v>
      </c>
      <c r="G20" s="11" t="s">
        <v>21</v>
      </c>
      <c r="H20" s="25">
        <f>1.609*(F19-F20)*3600/(60*(D20-D19)+(E20-E19))</f>
        <v>63.20097457627126</v>
      </c>
      <c r="I20" s="6" t="s">
        <v>22</v>
      </c>
      <c r="J20" s="6" t="s">
        <v>23</v>
      </c>
    </row>
    <row r="21" spans="2:10" ht="12.75">
      <c r="B21" s="11"/>
      <c r="C21" s="18"/>
      <c r="D21" s="18">
        <v>24</v>
      </c>
      <c r="E21" s="18">
        <v>7</v>
      </c>
      <c r="F21" s="21">
        <f>213</f>
        <v>213</v>
      </c>
      <c r="G21" s="11"/>
      <c r="H21" s="29">
        <f>1.609*(F20-F21)*3600/(60*(D21-D20)+(E21-E20))</f>
        <v>81.29684210526287</v>
      </c>
      <c r="J21" s="6"/>
    </row>
    <row r="22" spans="2:10" ht="23.25" customHeight="1">
      <c r="B22" s="11"/>
      <c r="C22" s="18"/>
      <c r="D22" s="18">
        <v>25</v>
      </c>
      <c r="E22" s="18">
        <v>7</v>
      </c>
      <c r="F22" s="21">
        <f>212</f>
        <v>212</v>
      </c>
      <c r="G22" s="11"/>
      <c r="H22" s="26">
        <f>1.609*(F21-F22)*3600/(60*(D22-D21)+(E22-E21))</f>
        <v>96.53999999999999</v>
      </c>
      <c r="I22" s="17" t="s">
        <v>24</v>
      </c>
      <c r="J22" s="6"/>
    </row>
    <row r="23" spans="2:10" ht="12.75">
      <c r="B23" s="11"/>
      <c r="C23" s="18"/>
      <c r="D23" s="18">
        <v>31</v>
      </c>
      <c r="E23" s="18">
        <v>17</v>
      </c>
      <c r="F23" s="19">
        <f>206</f>
        <v>206</v>
      </c>
      <c r="G23" s="11" t="s">
        <v>25</v>
      </c>
      <c r="H23" s="26">
        <f>1.609*(F22-F23)*3600/(60*(D23-D22)+(E23-E22))</f>
        <v>93.93081081081081</v>
      </c>
      <c r="I23" s="6" t="s">
        <v>26</v>
      </c>
      <c r="J23" s="6" t="s">
        <v>27</v>
      </c>
    </row>
    <row r="24" spans="2:10" ht="12.75">
      <c r="B24" s="11"/>
      <c r="C24" s="18"/>
      <c r="D24" s="18">
        <v>34</v>
      </c>
      <c r="E24" s="18">
        <v>6</v>
      </c>
      <c r="F24" s="21">
        <f>205</f>
        <v>205</v>
      </c>
      <c r="G24" s="11"/>
      <c r="H24" s="25">
        <f>1.609*(F23-F24)*3600/(60*(D24-D23)+(E24-E23))</f>
        <v>34.274556213017746</v>
      </c>
      <c r="I24" s="6" t="s">
        <v>28</v>
      </c>
      <c r="J24" s="6"/>
    </row>
    <row r="25" spans="2:8" ht="12.75">
      <c r="B25" s="11"/>
      <c r="C25" s="18"/>
      <c r="D25" s="18">
        <v>36</v>
      </c>
      <c r="E25" s="18">
        <v>37</v>
      </c>
      <c r="F25" s="28">
        <f>204.52</f>
        <v>204.52</v>
      </c>
      <c r="G25" s="11"/>
      <c r="H25" s="25">
        <f>1.609*(F23-F25)*3600/(60*(D25-D23)+(E25-E23))</f>
        <v>26.789849999999813</v>
      </c>
    </row>
    <row r="26" spans="2:8" ht="12.75">
      <c r="B26" s="11"/>
      <c r="C26" s="18"/>
      <c r="D26" s="18">
        <v>38</v>
      </c>
      <c r="E26" s="18">
        <v>26</v>
      </c>
      <c r="F26" s="21">
        <f>204</f>
        <v>204</v>
      </c>
      <c r="G26" s="11"/>
      <c r="H26" s="25">
        <f>1.609*(F25-F26)*3600/(60*(D26-D25)+(E26-E25))</f>
        <v>27.633467889908797</v>
      </c>
    </row>
    <row r="27" spans="2:8" ht="12.75">
      <c r="B27" s="11"/>
      <c r="C27" s="18"/>
      <c r="D27" s="18">
        <v>40</v>
      </c>
      <c r="E27" s="18">
        <v>16</v>
      </c>
      <c r="F27" s="21">
        <f>203</f>
        <v>203</v>
      </c>
      <c r="G27" s="11"/>
      <c r="H27" s="25">
        <f>1.609*(F26-F27)*3600/(60*(D27-D26)+(E27-E26))</f>
        <v>52.658181818181816</v>
      </c>
    </row>
    <row r="28" spans="2:8" ht="12.75">
      <c r="B28" s="11"/>
      <c r="C28" s="18"/>
      <c r="D28" s="18">
        <v>44</v>
      </c>
      <c r="E28" s="18">
        <v>57</v>
      </c>
      <c r="F28" s="28">
        <f>200.62</f>
        <v>200.62</v>
      </c>
      <c r="G28" s="11"/>
      <c r="H28" s="25">
        <f>1.609*(F27-F28)*3600/(60*(D28-D27)+(E28-E27))</f>
        <v>49.060185053380685</v>
      </c>
    </row>
    <row r="29" spans="2:9" ht="12.75">
      <c r="B29" s="11"/>
      <c r="C29" s="18"/>
      <c r="D29" s="18">
        <v>56</v>
      </c>
      <c r="E29" s="18">
        <v>49</v>
      </c>
      <c r="F29" s="21" t="s">
        <v>29</v>
      </c>
      <c r="G29" s="23" t="s">
        <v>30</v>
      </c>
      <c r="H29" s="30"/>
      <c r="I29" s="6" t="s">
        <v>31</v>
      </c>
    </row>
    <row r="30" spans="2:9" ht="23.25" customHeight="1">
      <c r="B30" s="11"/>
      <c r="C30" s="18">
        <v>16</v>
      </c>
      <c r="D30" s="18">
        <v>36</v>
      </c>
      <c r="E30" s="18">
        <v>30</v>
      </c>
      <c r="F30" s="28"/>
      <c r="G30" s="23" t="s">
        <v>32</v>
      </c>
      <c r="H30" s="30"/>
      <c r="I30" s="17" t="s">
        <v>33</v>
      </c>
    </row>
    <row r="31" spans="2:8" ht="12.75">
      <c r="B31" s="11"/>
      <c r="C31" s="18"/>
      <c r="D31" s="18">
        <v>41</v>
      </c>
      <c r="E31" s="18">
        <v>17</v>
      </c>
      <c r="F31" s="21">
        <f>197</f>
        <v>197</v>
      </c>
      <c r="G31" s="11"/>
      <c r="H31" s="30"/>
    </row>
    <row r="32" spans="2:8" ht="12.75">
      <c r="B32" s="11"/>
      <c r="C32" s="18"/>
      <c r="D32" s="18">
        <v>44</v>
      </c>
      <c r="E32" s="18">
        <v>55</v>
      </c>
      <c r="F32" s="21">
        <f>195</f>
        <v>195</v>
      </c>
      <c r="G32" s="11" t="s">
        <v>34</v>
      </c>
      <c r="H32" s="25">
        <f>1.609*(F31-F32)*3600/(60*(D32-D31)+(E32-E31))</f>
        <v>53.14128440366972</v>
      </c>
    </row>
    <row r="33" spans="2:8" ht="12.75">
      <c r="B33" s="11"/>
      <c r="C33" s="18"/>
      <c r="D33" s="18">
        <v>46</v>
      </c>
      <c r="E33" s="18">
        <v>17</v>
      </c>
      <c r="F33" s="21">
        <f>194</f>
        <v>194</v>
      </c>
      <c r="G33" s="11"/>
      <c r="H33" s="25">
        <f>1.609*(F32-F33)*3600/(60*(D33-D32)+(E33-E32))</f>
        <v>70.6390243902439</v>
      </c>
    </row>
    <row r="34" spans="2:8" ht="12.75">
      <c r="B34" s="11"/>
      <c r="C34" s="18"/>
      <c r="D34" s="18">
        <v>48</v>
      </c>
      <c r="E34" s="18">
        <v>34</v>
      </c>
      <c r="F34" s="21">
        <f>193</f>
        <v>193</v>
      </c>
      <c r="G34" s="11"/>
      <c r="H34" s="25">
        <f>1.609*(F33-F34)*3600/(60*(D34-D33)+(E34-E33))</f>
        <v>42.280291970802914</v>
      </c>
    </row>
    <row r="35" spans="2:8" ht="12.75">
      <c r="B35" s="11"/>
      <c r="C35" s="18"/>
      <c r="D35" s="18">
        <v>50</v>
      </c>
      <c r="E35" s="18">
        <v>31</v>
      </c>
      <c r="F35" s="21">
        <f>192</f>
        <v>192</v>
      </c>
      <c r="G35" s="11"/>
      <c r="H35" s="25">
        <f>1.609*(F34-F35)*3600/(60*(D35-D34)+(E35-E34))</f>
        <v>49.5076923076923</v>
      </c>
    </row>
    <row r="36" spans="2:8" ht="12.75">
      <c r="B36" s="11"/>
      <c r="C36" s="18"/>
      <c r="D36" s="18">
        <v>52</v>
      </c>
      <c r="E36" s="18">
        <v>10</v>
      </c>
      <c r="F36" s="21">
        <f>191</f>
        <v>191</v>
      </c>
      <c r="G36" s="11"/>
      <c r="H36" s="25">
        <f>1.609*(F35-F36)*3600/(60*(D36-D35)+(E36-E35))</f>
        <v>58.50909090909091</v>
      </c>
    </row>
    <row r="37" spans="2:8" ht="12.75">
      <c r="B37" s="11"/>
      <c r="C37" s="18"/>
      <c r="D37" s="18">
        <v>53</v>
      </c>
      <c r="E37" s="18">
        <v>53</v>
      </c>
      <c r="F37" s="19">
        <f>189.9</f>
        <v>189.9</v>
      </c>
      <c r="G37" s="11" t="s">
        <v>35</v>
      </c>
      <c r="H37" s="25">
        <f>1.609*(F36-F37)*3600/(60*(D37-D36)+(E37-E36))</f>
        <v>61.86058252427153</v>
      </c>
    </row>
    <row r="38" spans="2:8" ht="12.75">
      <c r="B38" s="11"/>
      <c r="C38" s="18"/>
      <c r="D38" s="18">
        <v>57</v>
      </c>
      <c r="E38" s="18">
        <v>0</v>
      </c>
      <c r="F38" s="21">
        <f>189</f>
        <v>189</v>
      </c>
      <c r="G38" s="11"/>
      <c r="H38" s="25">
        <f>1.609*(F37-F38)*3600/(60*(D38-D37)+(E38-E37))</f>
        <v>27.87786096256702</v>
      </c>
    </row>
    <row r="39" spans="2:9" ht="12.75">
      <c r="B39" s="11"/>
      <c r="C39" s="18"/>
      <c r="D39" s="18">
        <v>57</v>
      </c>
      <c r="E39" s="18">
        <v>41</v>
      </c>
      <c r="F39" s="19" t="s">
        <v>36</v>
      </c>
      <c r="G39" s="23" t="s">
        <v>37</v>
      </c>
      <c r="H39" s="30"/>
      <c r="I39" s="6" t="s">
        <v>38</v>
      </c>
    </row>
    <row r="40" spans="2:8" ht="12.75">
      <c r="B40" s="11"/>
      <c r="C40" s="18">
        <v>17</v>
      </c>
      <c r="D40" s="18">
        <v>7</v>
      </c>
      <c r="E40" s="18">
        <v>5</v>
      </c>
      <c r="F40" s="19"/>
      <c r="G40" s="23" t="s">
        <v>39</v>
      </c>
      <c r="H40" s="30"/>
    </row>
    <row r="41" spans="2:8" ht="12.75">
      <c r="B41" s="11"/>
      <c r="C41" s="18"/>
      <c r="D41" s="18">
        <v>10</v>
      </c>
      <c r="E41" s="18">
        <v>9</v>
      </c>
      <c r="F41" s="21">
        <f>188</f>
        <v>188</v>
      </c>
      <c r="G41" s="11"/>
      <c r="H41" s="30"/>
    </row>
    <row r="42" spans="2:9" ht="12.75">
      <c r="B42" s="11"/>
      <c r="C42" s="18"/>
      <c r="D42" s="18">
        <v>13</v>
      </c>
      <c r="E42" s="18">
        <v>23</v>
      </c>
      <c r="F42" s="19">
        <f>186.7</f>
        <v>186.7</v>
      </c>
      <c r="G42" s="23" t="s">
        <v>40</v>
      </c>
      <c r="H42" s="30"/>
      <c r="I42" s="6" t="s">
        <v>41</v>
      </c>
    </row>
    <row r="43" spans="2:9" ht="12.75">
      <c r="B43" s="11"/>
      <c r="C43" s="18"/>
      <c r="D43" s="18">
        <v>51</v>
      </c>
      <c r="E43" s="18">
        <v>50</v>
      </c>
      <c r="F43" s="21"/>
      <c r="G43" s="23" t="s">
        <v>42</v>
      </c>
      <c r="H43" s="30"/>
      <c r="I43" s="6" t="s">
        <v>43</v>
      </c>
    </row>
    <row r="44" spans="2:8" ht="12.75">
      <c r="B44" s="11"/>
      <c r="C44" s="18"/>
      <c r="D44" s="18">
        <v>57</v>
      </c>
      <c r="E44" s="18">
        <v>3</v>
      </c>
      <c r="F44" s="19">
        <f>184.7</f>
        <v>184.7</v>
      </c>
      <c r="G44" s="23" t="s">
        <v>44</v>
      </c>
      <c r="H44" s="30"/>
    </row>
    <row r="45" spans="2:9" ht="12.75">
      <c r="B45" s="11"/>
      <c r="C45" s="18"/>
      <c r="D45" s="18">
        <v>59</v>
      </c>
      <c r="E45" s="18">
        <v>1</v>
      </c>
      <c r="F45" s="21"/>
      <c r="G45" s="23" t="s">
        <v>45</v>
      </c>
      <c r="H45" s="30"/>
      <c r="I45" s="6" t="s">
        <v>46</v>
      </c>
    </row>
    <row r="46" spans="2:9" ht="12.75">
      <c r="B46" s="11"/>
      <c r="C46" s="18">
        <v>18</v>
      </c>
      <c r="D46" s="18">
        <v>0</v>
      </c>
      <c r="E46" s="18">
        <v>3</v>
      </c>
      <c r="F46" s="19">
        <f>184.6</f>
        <v>184.6</v>
      </c>
      <c r="G46" s="20" t="s">
        <v>47</v>
      </c>
      <c r="H46" s="30"/>
      <c r="I46" s="22" t="s">
        <v>48</v>
      </c>
    </row>
    <row r="47" spans="2:9" ht="12.75">
      <c r="B47" s="11"/>
      <c r="C47" s="18"/>
      <c r="D47" s="18">
        <v>3</v>
      </c>
      <c r="E47" s="18">
        <v>49</v>
      </c>
      <c r="F47" s="21">
        <f>183</f>
        <v>183</v>
      </c>
      <c r="G47" s="11"/>
      <c r="H47" s="25">
        <f>1.609*(F46-F47)*3600/(60*(D47-D46)+(E47-E46))</f>
        <v>41.00814159292021</v>
      </c>
      <c r="I47" s="31"/>
    </row>
    <row r="48" spans="2:9" ht="12.75">
      <c r="B48" s="11"/>
      <c r="C48" s="18"/>
      <c r="D48" s="18">
        <v>7</v>
      </c>
      <c r="E48" s="18">
        <v>7</v>
      </c>
      <c r="F48" s="21">
        <f>182</f>
        <v>182</v>
      </c>
      <c r="G48" s="11"/>
      <c r="H48" s="25">
        <f>1.609*(F47-F48)*3600/(60*(D48-D47)+(E48-E47))</f>
        <v>29.254545454545454</v>
      </c>
      <c r="I48" s="31" t="s">
        <v>49</v>
      </c>
    </row>
    <row r="49" spans="2:9" ht="12.75">
      <c r="B49" s="11"/>
      <c r="C49" s="18"/>
      <c r="D49" s="18">
        <v>10</v>
      </c>
      <c r="E49" s="18">
        <v>29</v>
      </c>
      <c r="F49" s="28">
        <f>180.7</f>
        <v>180.7</v>
      </c>
      <c r="G49" s="11"/>
      <c r="H49" s="25">
        <f>1.609*(F48-F49)*3600/(60*(D49-D48)+(E49-E48))</f>
        <v>37.27782178217854</v>
      </c>
      <c r="I49" s="31"/>
    </row>
    <row r="50" spans="2:9" ht="12.75">
      <c r="B50" s="11"/>
      <c r="C50" s="18"/>
      <c r="D50" s="18">
        <v>17</v>
      </c>
      <c r="E50" s="18">
        <v>18</v>
      </c>
      <c r="F50" s="21">
        <f>179</f>
        <v>179</v>
      </c>
      <c r="G50" s="11"/>
      <c r="H50" s="25">
        <f>1.609*(F49-F50)*3600/(60*(D50-D49)+(E50-E49))</f>
        <v>24.07599022004874</v>
      </c>
      <c r="I50" s="31"/>
    </row>
    <row r="51" spans="2:9" ht="12.75">
      <c r="B51" s="11"/>
      <c r="C51" s="18"/>
      <c r="D51" s="18">
        <v>18</v>
      </c>
      <c r="E51" s="18">
        <v>21</v>
      </c>
      <c r="F51" s="19">
        <f>178.8</f>
        <v>178.8</v>
      </c>
      <c r="G51" s="23" t="s">
        <v>50</v>
      </c>
      <c r="H51" s="30"/>
      <c r="I51" s="31"/>
    </row>
    <row r="52" spans="2:9" ht="12.75">
      <c r="B52" s="11"/>
      <c r="C52" s="18"/>
      <c r="D52" s="18">
        <v>18</v>
      </c>
      <c r="E52" s="18">
        <v>50</v>
      </c>
      <c r="F52" s="19">
        <f>178.8</f>
        <v>178.8</v>
      </c>
      <c r="G52" s="23" t="s">
        <v>51</v>
      </c>
      <c r="H52" s="30"/>
      <c r="I52" s="6" t="s">
        <v>52</v>
      </c>
    </row>
    <row r="53" spans="2:9" ht="12.75">
      <c r="B53" s="11"/>
      <c r="C53" s="18"/>
      <c r="D53" s="18">
        <v>21</v>
      </c>
      <c r="E53" s="18">
        <v>30</v>
      </c>
      <c r="F53" s="21">
        <f>178</f>
        <v>178</v>
      </c>
      <c r="G53" s="11"/>
      <c r="H53" s="25">
        <f>1.609*(F52-F53)*3600/(60*(D53-D52)+(E53-E52))</f>
        <v>28.96200000000041</v>
      </c>
      <c r="I53" s="31"/>
    </row>
    <row r="54" spans="2:9" ht="12.75">
      <c r="B54" s="11"/>
      <c r="C54" s="18"/>
      <c r="D54" s="18">
        <v>23</v>
      </c>
      <c r="E54" s="18">
        <v>27</v>
      </c>
      <c r="F54" s="28">
        <f>177</f>
        <v>177</v>
      </c>
      <c r="G54" s="11" t="s">
        <v>53</v>
      </c>
      <c r="H54" s="25">
        <f>1.609*(F53-F54)*3600/(60*(D54-D53)+(E54-E53))</f>
        <v>49.5076923076923</v>
      </c>
      <c r="I54" s="31"/>
    </row>
    <row r="55" spans="2:9" ht="12.75">
      <c r="B55" s="11"/>
      <c r="C55" s="18"/>
      <c r="D55" s="18">
        <v>29</v>
      </c>
      <c r="E55" s="18">
        <v>18</v>
      </c>
      <c r="F55" s="21">
        <f>174</f>
        <v>174</v>
      </c>
      <c r="G55" s="11"/>
      <c r="H55" s="25">
        <f>1.609*(F54-F55)*3600/(60*(D55-D54)+(E55-E54))</f>
        <v>49.50769230769231</v>
      </c>
      <c r="I55" s="31"/>
    </row>
    <row r="56" spans="2:9" ht="12.75">
      <c r="B56" s="11"/>
      <c r="C56" s="18"/>
      <c r="D56" s="18">
        <v>31</v>
      </c>
      <c r="E56" s="18">
        <v>19</v>
      </c>
      <c r="F56" s="19">
        <f>178.8</f>
        <v>178.8</v>
      </c>
      <c r="G56" s="23" t="s">
        <v>54</v>
      </c>
      <c r="H56" s="30"/>
      <c r="I56" s="31"/>
    </row>
    <row r="57" spans="2:9" ht="12.75">
      <c r="B57" s="11"/>
      <c r="C57" s="18"/>
      <c r="D57" s="18">
        <v>34</v>
      </c>
      <c r="E57" s="18">
        <v>47</v>
      </c>
      <c r="F57" s="19">
        <f>173.2</f>
        <v>173.2</v>
      </c>
      <c r="G57" s="23" t="s">
        <v>55</v>
      </c>
      <c r="H57" s="30"/>
      <c r="I57" s="6" t="s">
        <v>56</v>
      </c>
    </row>
    <row r="58" spans="2:10" ht="12.75">
      <c r="B58" s="11"/>
      <c r="C58" s="18"/>
      <c r="D58" s="18">
        <v>35</v>
      </c>
      <c r="E58" s="18">
        <v>26</v>
      </c>
      <c r="F58" s="19">
        <f>173</f>
        <v>173</v>
      </c>
      <c r="G58" s="11" t="s">
        <v>57</v>
      </c>
      <c r="H58" s="25">
        <f>1.609*(F54-F58)*3600/(60*(D58-D54)+(E58-E54))</f>
        <v>32.224756606397776</v>
      </c>
      <c r="I58" s="6" t="s">
        <v>58</v>
      </c>
      <c r="J58" s="31" t="s">
        <v>59</v>
      </c>
    </row>
    <row r="59" spans="2:10" ht="12.75">
      <c r="B59" s="11"/>
      <c r="C59" s="18"/>
      <c r="D59" s="18">
        <v>38</v>
      </c>
      <c r="E59" s="18">
        <v>2</v>
      </c>
      <c r="F59" s="21">
        <f>172</f>
        <v>172</v>
      </c>
      <c r="G59" s="11"/>
      <c r="H59" s="25">
        <f>1.609*(F55-F59)*3600/(60*(D59-D55)+(E59-E55))</f>
        <v>22.108396946564884</v>
      </c>
      <c r="I59" s="17" t="s">
        <v>60</v>
      </c>
      <c r="J59" s="31"/>
    </row>
    <row r="60" spans="2:10" ht="12.75">
      <c r="B60" s="11"/>
      <c r="C60" s="18"/>
      <c r="D60" s="18">
        <v>53</v>
      </c>
      <c r="E60" s="18">
        <v>19</v>
      </c>
      <c r="F60" s="21">
        <f>167</f>
        <v>167</v>
      </c>
      <c r="G60" s="11"/>
      <c r="H60" s="25">
        <f>1.609*(F56-F60)*3600/(60*(D60-D56)+(E60-E56))</f>
        <v>51.7805454545455</v>
      </c>
      <c r="I60" s="17" t="s">
        <v>61</v>
      </c>
      <c r="J60" s="31"/>
    </row>
    <row r="61" spans="2:10" ht="12.75">
      <c r="B61" s="11"/>
      <c r="C61" s="18"/>
      <c r="D61" s="18">
        <v>56</v>
      </c>
      <c r="E61" s="18">
        <v>52</v>
      </c>
      <c r="F61" s="21">
        <f>166</f>
        <v>166</v>
      </c>
      <c r="G61" s="11"/>
      <c r="H61" s="25">
        <f>1.609*(F57-F61)*3600/(60*(D61-D57)+(E61-E57))</f>
        <v>31.475683018867873</v>
      </c>
      <c r="I61" s="17"/>
      <c r="J61" s="31"/>
    </row>
    <row r="62" spans="2:10" ht="12.75">
      <c r="B62" s="11"/>
      <c r="C62" s="18">
        <v>19</v>
      </c>
      <c r="D62" s="18">
        <v>0</v>
      </c>
      <c r="E62" s="18">
        <v>21</v>
      </c>
      <c r="F62" s="21">
        <f>165</f>
        <v>165</v>
      </c>
      <c r="G62" s="11"/>
      <c r="H62" s="25">
        <f>1.609*(F58-F62)*3600/(60*(60+D62-D58)+(E62-E58))</f>
        <v>30.99612040133779</v>
      </c>
      <c r="I62" s="6" t="s">
        <v>62</v>
      </c>
      <c r="J62" s="31"/>
    </row>
    <row r="63" spans="2:10" ht="23.25" customHeight="1">
      <c r="B63" s="11"/>
      <c r="C63" s="18"/>
      <c r="D63" s="18">
        <v>3</v>
      </c>
      <c r="E63" s="18">
        <v>8</v>
      </c>
      <c r="F63" s="21"/>
      <c r="G63" s="23" t="s">
        <v>63</v>
      </c>
      <c r="H63" s="30"/>
      <c r="I63" s="17" t="s">
        <v>64</v>
      </c>
      <c r="J63" s="31"/>
    </row>
    <row r="64" spans="2:10" ht="12.75">
      <c r="B64" s="11"/>
      <c r="C64" s="18"/>
      <c r="D64" s="18">
        <v>37</v>
      </c>
      <c r="E64" s="18">
        <v>2</v>
      </c>
      <c r="F64" s="21"/>
      <c r="G64" s="23" t="s">
        <v>65</v>
      </c>
      <c r="H64" s="30"/>
      <c r="I64" s="32" t="s">
        <v>66</v>
      </c>
      <c r="J64" s="31"/>
    </row>
    <row r="65" spans="2:10" ht="12.75">
      <c r="B65" s="11"/>
      <c r="C65" s="18" t="s">
        <v>67</v>
      </c>
      <c r="D65" s="18"/>
      <c r="E65" s="18"/>
      <c r="F65" s="21"/>
      <c r="G65" s="11"/>
      <c r="H65" s="30"/>
      <c r="I65" s="32" t="s">
        <v>68</v>
      </c>
      <c r="J65" s="31"/>
    </row>
    <row r="66" spans="2:10" ht="12.75">
      <c r="B66" s="11"/>
      <c r="C66" s="18"/>
      <c r="D66" s="18"/>
      <c r="E66" s="18"/>
      <c r="F66" s="21"/>
      <c r="G66" s="23" t="s">
        <v>69</v>
      </c>
      <c r="H66" s="30"/>
      <c r="I66" s="32" t="s">
        <v>70</v>
      </c>
      <c r="J66" s="31"/>
    </row>
    <row r="67" spans="2:10" ht="12.75">
      <c r="B67" s="11"/>
      <c r="C67" s="18" t="s">
        <v>71</v>
      </c>
      <c r="D67" s="18"/>
      <c r="E67" s="18"/>
      <c r="F67" s="21"/>
      <c r="G67" s="11"/>
      <c r="H67" s="30"/>
      <c r="I67" s="32" t="s">
        <v>72</v>
      </c>
      <c r="J67" s="31"/>
    </row>
    <row r="68" spans="2:10" ht="12.75">
      <c r="B68" s="11"/>
      <c r="C68" s="18"/>
      <c r="D68" s="18">
        <v>47</v>
      </c>
      <c r="E68" s="18">
        <v>46</v>
      </c>
      <c r="F68" s="19">
        <f>162.1</f>
        <v>162.1</v>
      </c>
      <c r="G68" s="23" t="s">
        <v>73</v>
      </c>
      <c r="H68" s="30"/>
      <c r="I68" s="17" t="s">
        <v>74</v>
      </c>
      <c r="J68" s="31"/>
    </row>
    <row r="69" spans="2:10" ht="12.75">
      <c r="B69" s="11"/>
      <c r="C69" s="18"/>
      <c r="D69" s="18">
        <v>48</v>
      </c>
      <c r="E69" s="18">
        <v>9</v>
      </c>
      <c r="F69" s="19">
        <f>162.1</f>
        <v>162.1</v>
      </c>
      <c r="G69" s="23" t="s">
        <v>75</v>
      </c>
      <c r="H69" s="30"/>
      <c r="I69" s="17" t="s">
        <v>76</v>
      </c>
      <c r="J69" s="31"/>
    </row>
    <row r="70" spans="2:9" ht="12.75">
      <c r="B70" s="11"/>
      <c r="C70" s="18"/>
      <c r="D70" s="18">
        <v>49</v>
      </c>
      <c r="E70" s="18">
        <v>19</v>
      </c>
      <c r="F70" s="19">
        <f>161.8</f>
        <v>161.8</v>
      </c>
      <c r="G70" s="11" t="s">
        <v>77</v>
      </c>
      <c r="H70" s="30"/>
      <c r="I70" s="17" t="s">
        <v>26</v>
      </c>
    </row>
    <row r="71" spans="2:9" ht="12.75">
      <c r="B71" s="11"/>
      <c r="C71" s="18"/>
      <c r="D71" s="18">
        <v>51</v>
      </c>
      <c r="E71" s="18">
        <v>37</v>
      </c>
      <c r="F71" s="19">
        <f>160</f>
        <v>160</v>
      </c>
      <c r="G71" s="11"/>
      <c r="H71" s="25">
        <f>1.609*(F70-F71)*3600/(60*(D71-D70)+(E71-E70))</f>
        <v>75.55304347826134</v>
      </c>
      <c r="I71" s="17"/>
    </row>
    <row r="72" spans="2:9" ht="12.75">
      <c r="B72" s="11"/>
      <c r="C72" s="18"/>
      <c r="D72" s="18">
        <v>53</v>
      </c>
      <c r="E72" s="18">
        <v>47</v>
      </c>
      <c r="F72" s="21">
        <f>158</f>
        <v>158</v>
      </c>
      <c r="G72" s="11"/>
      <c r="H72" s="29">
        <f>1.609*(F71-F72)*3600/(60*(D72-D71)+(E72-E71))</f>
        <v>89.11384615384615</v>
      </c>
      <c r="I72" s="17" t="s">
        <v>78</v>
      </c>
    </row>
    <row r="73" spans="2:9" ht="12.75">
      <c r="B73" s="11"/>
      <c r="C73" s="18"/>
      <c r="D73" s="18">
        <v>54</v>
      </c>
      <c r="E73" s="18">
        <v>55</v>
      </c>
      <c r="F73" s="21">
        <v>157</v>
      </c>
      <c r="G73" s="11"/>
      <c r="H73" s="29">
        <f>1.609*(F72-F73)*3600/(60*(D73-D72)+(E73-E72))</f>
        <v>85.18235294117646</v>
      </c>
      <c r="I73" s="17" t="s">
        <v>79</v>
      </c>
    </row>
    <row r="74" spans="2:9" ht="12.75">
      <c r="B74" s="11"/>
      <c r="C74" s="18"/>
      <c r="D74" s="18">
        <v>57</v>
      </c>
      <c r="E74" s="18">
        <v>2</v>
      </c>
      <c r="F74" s="19">
        <f>155.1</f>
        <v>155.1</v>
      </c>
      <c r="G74" s="11"/>
      <c r="H74" s="29">
        <f>1.609*(F73-F74)*3600/(60*(D74-D73)+(E74-E73))</f>
        <v>86.65795275590577</v>
      </c>
      <c r="I74" s="17" t="s">
        <v>80</v>
      </c>
    </row>
    <row r="75" spans="2:9" ht="12.75">
      <c r="B75" s="11"/>
      <c r="C75" s="18">
        <v>21</v>
      </c>
      <c r="D75" s="18">
        <v>1</v>
      </c>
      <c r="E75" s="18">
        <v>1</v>
      </c>
      <c r="F75" s="21">
        <f>153</f>
        <v>153</v>
      </c>
      <c r="G75" s="11"/>
      <c r="H75" s="25">
        <f>1.609*(F71-F75)*3600/(60*(60+D75-D71)+(E75-E71))</f>
        <v>71.89148936170213</v>
      </c>
      <c r="I75" s="17" t="s">
        <v>81</v>
      </c>
    </row>
    <row r="76" spans="2:9" ht="12.75">
      <c r="B76" s="11"/>
      <c r="C76" s="18"/>
      <c r="D76" s="18">
        <v>4</v>
      </c>
      <c r="E76" s="18">
        <v>3</v>
      </c>
      <c r="F76" s="21">
        <f>151</f>
        <v>151</v>
      </c>
      <c r="G76" s="11"/>
      <c r="H76" s="25">
        <f>1.609*(F75-F76)*3600/(60*(D76-D75)+(E76-E75))</f>
        <v>63.65274725274725</v>
      </c>
      <c r="I76" s="17"/>
    </row>
    <row r="77" spans="2:9" ht="12.75">
      <c r="B77" s="11"/>
      <c r="C77" s="18"/>
      <c r="D77" s="18">
        <v>5</v>
      </c>
      <c r="E77" s="18">
        <v>31</v>
      </c>
      <c r="F77" s="19">
        <f>150.2</f>
        <v>150.2</v>
      </c>
      <c r="G77" s="11" t="s">
        <v>82</v>
      </c>
      <c r="H77" s="25">
        <f>1.609*(F76-F77)*3600/(60*(D77-D76)+(E77-E76))</f>
        <v>52.65818181818256</v>
      </c>
      <c r="I77" s="17" t="s">
        <v>83</v>
      </c>
    </row>
    <row r="78" spans="2:9" ht="12.75">
      <c r="B78" s="11"/>
      <c r="C78" s="18"/>
      <c r="D78" s="18">
        <v>7</v>
      </c>
      <c r="E78" s="18">
        <v>40</v>
      </c>
      <c r="F78" s="21">
        <f>149</f>
        <v>149</v>
      </c>
      <c r="G78" s="11"/>
      <c r="H78" s="25">
        <f>1.609*(F77-F78)*3600/(60*(D78-D77)+(E78-E77))</f>
        <v>53.882790697673904</v>
      </c>
      <c r="I78" s="17" t="s">
        <v>84</v>
      </c>
    </row>
    <row r="79" spans="2:9" ht="12.75">
      <c r="B79" s="11"/>
      <c r="C79" s="18"/>
      <c r="D79" s="18">
        <v>9</v>
      </c>
      <c r="E79" s="18">
        <v>10</v>
      </c>
      <c r="F79" s="21">
        <f>148</f>
        <v>148</v>
      </c>
      <c r="G79" s="11"/>
      <c r="H79" s="25">
        <f>1.609*(F78-F79)*3600/(60*(D79-D78)+(E79-E78))</f>
        <v>64.36</v>
      </c>
      <c r="I79" s="17"/>
    </row>
    <row r="80" spans="2:9" ht="12.75">
      <c r="B80" s="11"/>
      <c r="C80" s="18"/>
      <c r="D80" s="18">
        <v>10</v>
      </c>
      <c r="E80" s="18">
        <v>56</v>
      </c>
      <c r="F80" s="21">
        <f>147</f>
        <v>147</v>
      </c>
      <c r="G80" s="11"/>
      <c r="H80" s="25">
        <f>1.609*(F79-F80)*3600/(60*(D80-D79)+(E80-E79))</f>
        <v>54.64528301886792</v>
      </c>
      <c r="I80" s="17"/>
    </row>
    <row r="81" spans="2:9" ht="12.75">
      <c r="B81" s="11"/>
      <c r="C81" s="18"/>
      <c r="D81" s="18">
        <v>12</v>
      </c>
      <c r="E81" s="18">
        <v>27</v>
      </c>
      <c r="F81" s="21">
        <f>146</f>
        <v>146</v>
      </c>
      <c r="G81" s="11"/>
      <c r="H81" s="25">
        <f>1.609*(F80-F81)*3600/(60*(D81-D80)+(E81-E80))</f>
        <v>63.65274725274725</v>
      </c>
      <c r="I81" s="17" t="s">
        <v>85</v>
      </c>
    </row>
    <row r="82" spans="2:9" ht="12.75">
      <c r="B82" s="11"/>
      <c r="C82" s="18"/>
      <c r="D82" s="18">
        <v>14</v>
      </c>
      <c r="E82" s="18">
        <v>39</v>
      </c>
      <c r="F82" s="21">
        <v>144</v>
      </c>
      <c r="G82" s="11"/>
      <c r="H82" s="29">
        <f>1.609*(F81-F82)*3600/(60*(D82-D81)+(E82-E81))</f>
        <v>87.76363636363635</v>
      </c>
      <c r="I82" s="17"/>
    </row>
    <row r="83" spans="2:9" ht="12.75">
      <c r="B83" s="11"/>
      <c r="C83" s="18"/>
      <c r="D83" s="18">
        <v>17</v>
      </c>
      <c r="E83" s="18">
        <v>19</v>
      </c>
      <c r="F83" s="21">
        <f>143</f>
        <v>143</v>
      </c>
      <c r="G83" s="11"/>
      <c r="H83" s="25">
        <f>1.609*(F82-F83)*3600/(60*(D83-D82)+(E83-E82))</f>
        <v>36.2025</v>
      </c>
      <c r="I83" s="17" t="s">
        <v>86</v>
      </c>
    </row>
    <row r="84" spans="2:9" ht="12.75">
      <c r="B84" s="11"/>
      <c r="C84" s="18"/>
      <c r="D84" s="18">
        <v>20</v>
      </c>
      <c r="E84" s="18">
        <v>48</v>
      </c>
      <c r="F84" s="21">
        <f>142</f>
        <v>142</v>
      </c>
      <c r="G84" s="11"/>
      <c r="H84" s="25">
        <f>1.609*(F83-F84)*3600/(60*(D84-D83)+(E84-E83))</f>
        <v>27.714832535885165</v>
      </c>
      <c r="I84" s="17"/>
    </row>
    <row r="85" spans="2:9" ht="12.75">
      <c r="B85" s="11"/>
      <c r="C85" s="18"/>
      <c r="D85" s="18">
        <v>26</v>
      </c>
      <c r="E85" s="18">
        <v>8</v>
      </c>
      <c r="F85" s="19">
        <f>140.1</f>
        <v>140.1</v>
      </c>
      <c r="G85" s="11" t="s">
        <v>87</v>
      </c>
      <c r="H85" s="25">
        <f>1.609*(F84-F85)*3600/(60*(D85-D84)+(E85-E84))</f>
        <v>34.3923750000001</v>
      </c>
      <c r="I85" s="17" t="s">
        <v>88</v>
      </c>
    </row>
    <row r="86" spans="2:9" ht="12.75">
      <c r="B86" s="11"/>
      <c r="C86" s="18"/>
      <c r="D86" s="18">
        <v>28</v>
      </c>
      <c r="E86" s="18">
        <v>25</v>
      </c>
      <c r="F86" s="19">
        <f>137.9</f>
        <v>137.9</v>
      </c>
      <c r="G86" s="11" t="s">
        <v>89</v>
      </c>
      <c r="H86" s="26">
        <f>1.609*(F85-F86)*3600/(60*(D86-D85)+(E86-E85))</f>
        <v>93.01664233576595</v>
      </c>
      <c r="I86" s="33" t="s">
        <v>90</v>
      </c>
    </row>
    <row r="87" spans="2:9" ht="12.75">
      <c r="B87" s="11"/>
      <c r="C87" s="18"/>
      <c r="D87" s="18">
        <v>29</v>
      </c>
      <c r="E87" s="18">
        <v>38</v>
      </c>
      <c r="F87" s="21">
        <f>137</f>
        <v>137</v>
      </c>
      <c r="G87" s="11"/>
      <c r="H87" s="25">
        <f>1.609*(F86-F87)*3600/(60*(D87-D86)+(E87-E86))</f>
        <v>71.41315068493195</v>
      </c>
      <c r="I87" s="34"/>
    </row>
    <row r="88" spans="2:9" ht="12.75">
      <c r="B88" s="11"/>
      <c r="C88" s="18"/>
      <c r="D88" s="18">
        <v>31</v>
      </c>
      <c r="E88" s="18">
        <v>28</v>
      </c>
      <c r="F88" s="19">
        <f>135.8</f>
        <v>135.8</v>
      </c>
      <c r="G88" s="11" t="s">
        <v>91</v>
      </c>
      <c r="H88" s="25">
        <f>1.609*(F87-F88)*3600/(60*(D88-D87)+(E88-E87))</f>
        <v>63.18981818181758</v>
      </c>
      <c r="I88" s="17" t="s">
        <v>92</v>
      </c>
    </row>
    <row r="89" spans="2:9" ht="12.75">
      <c r="B89" s="11"/>
      <c r="C89" s="18"/>
      <c r="D89" s="18">
        <v>32</v>
      </c>
      <c r="E89" s="18">
        <v>33</v>
      </c>
      <c r="F89" s="21">
        <f>135</f>
        <v>135</v>
      </c>
      <c r="G89" s="11"/>
      <c r="H89" s="25">
        <f>1.609*(F88-F89)*3600/(60*(D89-D88)+(E89-E88))</f>
        <v>71.29107692307794</v>
      </c>
      <c r="I89" s="17"/>
    </row>
    <row r="90" spans="2:9" ht="12.75">
      <c r="B90" s="11"/>
      <c r="C90" s="18"/>
      <c r="D90" s="18">
        <v>34</v>
      </c>
      <c r="E90" s="18">
        <v>5</v>
      </c>
      <c r="F90" s="21">
        <f>134</f>
        <v>134</v>
      </c>
      <c r="G90" s="11"/>
      <c r="H90" s="25">
        <f>1.609*(F89-F90)*3600/(60*(D90-D89)+(E90-E89))</f>
        <v>62.960869565217386</v>
      </c>
      <c r="I90" s="17" t="s">
        <v>93</v>
      </c>
    </row>
    <row r="91" spans="2:9" ht="12.75">
      <c r="B91" s="11"/>
      <c r="C91" s="18"/>
      <c r="D91" s="18">
        <v>37</v>
      </c>
      <c r="E91" s="18">
        <v>21</v>
      </c>
      <c r="F91" s="21">
        <f>133</f>
        <v>133</v>
      </c>
      <c r="G91" s="11"/>
      <c r="H91" s="25">
        <f>1.609*(F90-F91)*3600/(60*(D91-D90)+(E91-E90))</f>
        <v>29.553061224489795</v>
      </c>
      <c r="I91" s="17" t="s">
        <v>94</v>
      </c>
    </row>
    <row r="92" spans="2:9" ht="12.75">
      <c r="B92" s="11"/>
      <c r="C92" s="18"/>
      <c r="D92" s="18">
        <v>42</v>
      </c>
      <c r="E92" s="18">
        <v>36</v>
      </c>
      <c r="F92" s="21"/>
      <c r="G92" s="23" t="s">
        <v>95</v>
      </c>
      <c r="H92" s="30"/>
      <c r="I92" s="17"/>
    </row>
    <row r="93" spans="2:9" ht="12.75">
      <c r="B93" s="11"/>
      <c r="C93" s="18"/>
      <c r="D93" s="18">
        <v>45</v>
      </c>
      <c r="E93" s="18">
        <v>4</v>
      </c>
      <c r="F93" s="21"/>
      <c r="G93" s="23" t="s">
        <v>96</v>
      </c>
      <c r="H93" s="30"/>
      <c r="I93" s="17" t="s">
        <v>97</v>
      </c>
    </row>
    <row r="94" spans="2:9" ht="12.75">
      <c r="B94" s="11"/>
      <c r="C94" s="18"/>
      <c r="D94" s="18">
        <v>50</v>
      </c>
      <c r="E94" s="18">
        <v>11</v>
      </c>
      <c r="F94" s="19">
        <f>131</f>
        <v>131</v>
      </c>
      <c r="G94" s="23" t="s">
        <v>98</v>
      </c>
      <c r="H94" s="30"/>
      <c r="I94" s="17" t="s">
        <v>99</v>
      </c>
    </row>
    <row r="95" spans="2:9" ht="12.75">
      <c r="B95" s="11"/>
      <c r="C95" s="18">
        <v>22</v>
      </c>
      <c r="D95" s="18">
        <v>14</v>
      </c>
      <c r="E95" s="18">
        <v>48</v>
      </c>
      <c r="F95" s="19">
        <f>131</f>
        <v>131</v>
      </c>
      <c r="G95" s="23" t="s">
        <v>100</v>
      </c>
      <c r="H95" s="30"/>
      <c r="I95" s="17" t="s">
        <v>101</v>
      </c>
    </row>
    <row r="96" spans="2:9" ht="12.75">
      <c r="B96" s="11"/>
      <c r="C96" s="18"/>
      <c r="D96" s="18"/>
      <c r="E96" s="18"/>
      <c r="F96" s="21"/>
      <c r="G96" s="11"/>
      <c r="H96" s="30"/>
      <c r="I96" s="17" t="s">
        <v>102</v>
      </c>
    </row>
    <row r="97" spans="2:9" ht="12.75">
      <c r="B97" s="11"/>
      <c r="C97" s="18"/>
      <c r="D97" s="18">
        <v>19</v>
      </c>
      <c r="E97" s="18">
        <v>4</v>
      </c>
      <c r="F97" s="21"/>
      <c r="G97" s="23" t="s">
        <v>103</v>
      </c>
      <c r="H97" s="30"/>
      <c r="I97" s="17" t="s">
        <v>104</v>
      </c>
    </row>
    <row r="98" spans="2:9" ht="12.75">
      <c r="B98" s="11"/>
      <c r="C98" s="18">
        <v>0</v>
      </c>
      <c r="D98" s="18">
        <v>24</v>
      </c>
      <c r="E98" s="18">
        <v>43</v>
      </c>
      <c r="F98" s="21"/>
      <c r="G98" s="23" t="s">
        <v>105</v>
      </c>
      <c r="H98" s="30"/>
      <c r="I98" s="17" t="s">
        <v>106</v>
      </c>
    </row>
    <row r="99" spans="2:9" ht="12.75">
      <c r="B99" s="11"/>
      <c r="C99" s="18"/>
      <c r="D99" s="18"/>
      <c r="E99" s="18"/>
      <c r="F99" s="21"/>
      <c r="G99" s="11"/>
      <c r="H99" s="30"/>
      <c r="I99" s="17" t="s">
        <v>107</v>
      </c>
    </row>
    <row r="100" spans="2:9" ht="12.75">
      <c r="B100" s="11"/>
      <c r="C100" s="18"/>
      <c r="D100" s="18"/>
      <c r="E100" s="18"/>
      <c r="F100" s="21"/>
      <c r="G100" s="11"/>
      <c r="H100" s="30"/>
      <c r="I100" s="17" t="s">
        <v>108</v>
      </c>
    </row>
    <row r="101" spans="2:9" ht="12.75">
      <c r="B101" s="11"/>
      <c r="C101" s="18"/>
      <c r="D101" s="18"/>
      <c r="E101" s="18"/>
      <c r="F101" s="21"/>
      <c r="G101" s="11"/>
      <c r="H101" s="30"/>
      <c r="I101" s="17" t="s">
        <v>109</v>
      </c>
    </row>
    <row r="102" spans="2:9" ht="12.75">
      <c r="B102" s="11"/>
      <c r="C102" s="18"/>
      <c r="D102" s="18"/>
      <c r="E102" s="18"/>
      <c r="F102" s="19">
        <f>129.6</f>
        <v>129.6</v>
      </c>
      <c r="G102" s="20" t="s">
        <v>110</v>
      </c>
      <c r="H102" s="30"/>
      <c r="I102" s="34"/>
    </row>
    <row r="103" spans="2:9" ht="12.75">
      <c r="B103" s="11"/>
      <c r="C103" s="18"/>
      <c r="D103" s="18"/>
      <c r="E103" s="18"/>
      <c r="F103" s="19">
        <f>69</f>
        <v>69</v>
      </c>
      <c r="G103" s="20" t="s">
        <v>111</v>
      </c>
      <c r="H103" s="30"/>
      <c r="I103" s="34" t="s">
        <v>112</v>
      </c>
    </row>
    <row r="104" spans="2:9" ht="12.75">
      <c r="B104" s="11"/>
      <c r="C104" s="18"/>
      <c r="D104" s="18"/>
      <c r="E104" s="18"/>
      <c r="F104" s="19"/>
      <c r="G104" s="11"/>
      <c r="H104" s="30"/>
      <c r="I104" s="34" t="s">
        <v>113</v>
      </c>
    </row>
    <row r="105" spans="2:9" ht="12.75">
      <c r="B105" s="11"/>
      <c r="C105" s="18"/>
      <c r="D105" s="18"/>
      <c r="E105" s="18"/>
      <c r="F105" s="19"/>
      <c r="G105" s="11"/>
      <c r="H105" s="30"/>
      <c r="I105" s="34" t="s">
        <v>114</v>
      </c>
    </row>
    <row r="106" spans="2:9" ht="12.75">
      <c r="B106" s="11"/>
      <c r="C106" s="18"/>
      <c r="D106" s="18"/>
      <c r="E106" s="18"/>
      <c r="F106" s="19"/>
      <c r="G106" s="11"/>
      <c r="H106" s="30"/>
      <c r="I106" s="17" t="s">
        <v>115</v>
      </c>
    </row>
    <row r="107" spans="2:9" ht="12.75">
      <c r="B107" s="11"/>
      <c r="C107" s="18">
        <v>4</v>
      </c>
      <c r="D107" s="18">
        <v>46</v>
      </c>
      <c r="E107" s="18">
        <v>39</v>
      </c>
      <c r="F107" s="19">
        <f>3.7</f>
        <v>3.7</v>
      </c>
      <c r="G107" s="20" t="s">
        <v>116</v>
      </c>
      <c r="H107" s="30"/>
      <c r="I107" s="22" t="s">
        <v>117</v>
      </c>
    </row>
    <row r="108" spans="2:9" ht="12.75">
      <c r="B108" s="7"/>
      <c r="C108" s="35"/>
      <c r="D108" s="35"/>
      <c r="E108" s="35"/>
      <c r="F108" s="12"/>
      <c r="G108" s="7"/>
      <c r="H108" s="36"/>
      <c r="I108" s="6" t="s">
        <v>118</v>
      </c>
    </row>
    <row r="109" spans="6:9" ht="12.75">
      <c r="F109" s="37">
        <f>F8-F107</f>
        <v>231.9</v>
      </c>
      <c r="G109" s="2" t="s">
        <v>119</v>
      </c>
      <c r="H109" s="37">
        <f>F109*60/944.16667</f>
        <v>14.736804890602631</v>
      </c>
      <c r="I109" s="6" t="s">
        <v>120</v>
      </c>
    </row>
    <row r="110" spans="6:9" ht="12.75">
      <c r="F110" s="37">
        <f>F109*1.609</f>
        <v>373.1271</v>
      </c>
      <c r="G110" s="2" t="s">
        <v>121</v>
      </c>
      <c r="H110" s="37">
        <f>H109*1.609</f>
        <v>23.711519068979634</v>
      </c>
      <c r="I110" s="6" t="s">
        <v>122</v>
      </c>
    </row>
    <row r="111" spans="6:9" ht="12.75">
      <c r="F111" s="37"/>
      <c r="H111" s="37">
        <f>F109*60/380</f>
        <v>36.61578947368421</v>
      </c>
      <c r="I111" s="6" t="s">
        <v>123</v>
      </c>
    </row>
    <row r="112" spans="6:9" ht="12.75">
      <c r="F112" s="37"/>
      <c r="H112" s="37">
        <f>H111*1.609</f>
        <v>58.914805263157895</v>
      </c>
      <c r="I112" s="6" t="s">
        <v>124</v>
      </c>
    </row>
    <row r="114" spans="6:8" ht="12.75">
      <c r="F114" s="15" t="s">
        <v>125</v>
      </c>
      <c r="H114" s="38" t="s">
        <v>126</v>
      </c>
    </row>
    <row r="115" spans="2:8" ht="12.75">
      <c r="B115" s="39" t="s">
        <v>127</v>
      </c>
      <c r="D115" s="5">
        <v>20</v>
      </c>
      <c r="E115" s="5">
        <v>58</v>
      </c>
      <c r="F115" s="4" t="s">
        <v>128</v>
      </c>
      <c r="G115" s="2" t="s">
        <v>129</v>
      </c>
      <c r="H115" s="37">
        <f>100*20.9667/26.7</f>
        <v>78.52696629213483</v>
      </c>
    </row>
    <row r="116" spans="4:8" ht="12.75">
      <c r="D116" s="5">
        <v>77</v>
      </c>
      <c r="E116" s="5">
        <v>10</v>
      </c>
      <c r="F116" s="4" t="s">
        <v>130</v>
      </c>
      <c r="G116" s="2" t="s">
        <v>131</v>
      </c>
      <c r="H116" s="37">
        <f>100*98.1333/120.5</f>
        <v>81.43842323651452</v>
      </c>
    </row>
    <row r="117" spans="2:8" ht="12.75">
      <c r="B117" s="2" t="s">
        <v>132</v>
      </c>
      <c r="D117" s="5">
        <v>39</v>
      </c>
      <c r="E117" s="5">
        <v>41</v>
      </c>
      <c r="F117" s="4" t="s">
        <v>133</v>
      </c>
      <c r="G117" s="2" t="s">
        <v>134</v>
      </c>
      <c r="H117" s="37">
        <f>100*137.81667/214.0133</f>
        <v>64.39631088348247</v>
      </c>
    </row>
    <row r="118" spans="2:8" ht="12.75">
      <c r="B118" s="2" t="s">
        <v>135</v>
      </c>
      <c r="D118" s="5">
        <v>9</v>
      </c>
      <c r="E118" s="5">
        <v>24</v>
      </c>
      <c r="F118" s="4" t="s">
        <v>136</v>
      </c>
      <c r="G118" s="2" t="s">
        <v>137</v>
      </c>
      <c r="H118" s="37">
        <f>100*147.2133/244.6</f>
        <v>60.18532297628782</v>
      </c>
    </row>
    <row r="119" spans="2:8" ht="12.75">
      <c r="B119" s="2" t="s">
        <v>138</v>
      </c>
      <c r="C119" s="2" t="s">
        <v>139</v>
      </c>
      <c r="D119" s="5">
        <v>38</v>
      </c>
      <c r="E119" s="5">
        <v>27</v>
      </c>
      <c r="F119" s="4" t="s">
        <v>140</v>
      </c>
      <c r="G119" s="2" t="s">
        <v>141</v>
      </c>
      <c r="H119" s="37">
        <f>100*185.6667/289.35</f>
        <v>64.16682218766199</v>
      </c>
    </row>
    <row r="120" spans="2:8" ht="12.75">
      <c r="B120" s="2" t="s">
        <v>142</v>
      </c>
      <c r="D120" s="5">
        <v>1</v>
      </c>
      <c r="E120" s="5">
        <v>58</v>
      </c>
      <c r="F120" s="4" t="s">
        <v>143</v>
      </c>
      <c r="G120" s="2" t="s">
        <v>144</v>
      </c>
      <c r="H120" s="37">
        <f>100*187.6333/296.5333</f>
        <v>63.27562536821328</v>
      </c>
    </row>
    <row r="121" spans="4:8" ht="12.75">
      <c r="D121" s="5">
        <v>0</v>
      </c>
      <c r="E121" s="5">
        <v>29</v>
      </c>
      <c r="F121" s="4" t="s">
        <v>145</v>
      </c>
      <c r="G121" s="2" t="s">
        <v>146</v>
      </c>
      <c r="H121" s="37">
        <f>100*188.1167/316.35</f>
        <v>59.46473842263316</v>
      </c>
    </row>
    <row r="122" spans="4:8" ht="12.75">
      <c r="D122" s="5">
        <v>3</v>
      </c>
      <c r="E122" s="5">
        <v>28</v>
      </c>
      <c r="F122" s="4" t="s">
        <v>147</v>
      </c>
      <c r="G122" s="2" t="s">
        <v>148</v>
      </c>
      <c r="H122" s="37">
        <f>100*191.5833/332.3</f>
        <v>57.65371652121577</v>
      </c>
    </row>
    <row r="123" spans="4:8" ht="12.75">
      <c r="D123" s="5">
        <v>93</v>
      </c>
      <c r="E123" s="5">
        <v>54</v>
      </c>
      <c r="F123" s="40" t="s">
        <v>149</v>
      </c>
      <c r="G123" s="41" t="s">
        <v>150</v>
      </c>
      <c r="H123" s="42">
        <f>100*285.2867/394.55</f>
        <v>72.30685591179825</v>
      </c>
    </row>
    <row r="124" spans="3:8" ht="12.75">
      <c r="C124" s="2" t="s">
        <v>151</v>
      </c>
      <c r="D124" s="5">
        <v>0</v>
      </c>
      <c r="E124" s="5">
        <v>23</v>
      </c>
      <c r="F124" s="4" t="s">
        <v>152</v>
      </c>
      <c r="G124" s="2" t="s">
        <v>153</v>
      </c>
      <c r="H124" s="37">
        <f>100*285.8667/465.6667</f>
        <v>61.38869281398047</v>
      </c>
    </row>
    <row r="125" spans="4:8" ht="12.75">
      <c r="D125" s="5">
        <v>2</v>
      </c>
      <c r="E125" s="5">
        <v>28</v>
      </c>
      <c r="F125" s="4" t="s">
        <v>154</v>
      </c>
      <c r="G125" s="4" t="s">
        <v>155</v>
      </c>
      <c r="H125" s="37">
        <f>100*288.3333/522.5833</f>
        <v>55.174610440096345</v>
      </c>
    </row>
    <row r="126" spans="4:8" ht="12.75">
      <c r="D126" s="5">
        <v>24</v>
      </c>
      <c r="E126" s="5">
        <v>37</v>
      </c>
      <c r="F126" s="4" t="s">
        <v>156</v>
      </c>
      <c r="G126" s="2" t="s">
        <v>157</v>
      </c>
      <c r="H126" s="37">
        <f>100*312.95/552.3133</f>
        <v>56.661680969840845</v>
      </c>
    </row>
    <row r="127" spans="4:8" ht="12.75">
      <c r="D127" s="5">
        <v>125</v>
      </c>
      <c r="E127" s="5">
        <v>39</v>
      </c>
      <c r="F127" s="4" t="s">
        <v>158</v>
      </c>
      <c r="G127" s="2" t="s">
        <v>159</v>
      </c>
      <c r="H127" s="37">
        <f>100*438.6/682.2333</f>
        <v>64.28885837146912</v>
      </c>
    </row>
    <row r="128" spans="4:5" ht="12.75">
      <c r="D128" s="21">
        <f>SUM(D115:D127)</f>
        <v>431</v>
      </c>
      <c r="E128" s="21">
        <f>SUM(E115:E127)</f>
        <v>456</v>
      </c>
    </row>
    <row r="129" spans="4:5" ht="12.75">
      <c r="D129" s="5"/>
      <c r="E129" s="5"/>
    </row>
    <row r="130" spans="4:5" ht="12.75">
      <c r="D130" s="5"/>
      <c r="E130" s="5"/>
    </row>
    <row r="131" spans="4:5" ht="12.75">
      <c r="D131" s="5"/>
      <c r="E131" s="5"/>
    </row>
    <row r="132" spans="4:5" ht="12.75">
      <c r="D132" s="5"/>
      <c r="E132" s="5"/>
    </row>
    <row r="133" spans="4:5" ht="12.75">
      <c r="D133" s="5"/>
      <c r="E133" s="5"/>
    </row>
    <row r="134" spans="4:5" ht="12.75">
      <c r="D134" s="5"/>
      <c r="E134" s="5"/>
    </row>
    <row r="135" spans="4:5" ht="12.75">
      <c r="D135" s="5"/>
      <c r="E135" s="5"/>
    </row>
    <row r="136" spans="4:5" ht="12.75">
      <c r="D136" s="5"/>
      <c r="E136" s="5"/>
    </row>
    <row r="137" spans="4:5" ht="12.75">
      <c r="D137" s="5"/>
      <c r="E137" s="5"/>
    </row>
    <row r="138" spans="4:5" ht="12.75">
      <c r="D138" s="5"/>
      <c r="E138" s="5"/>
    </row>
    <row r="139" spans="4:5" ht="12.75">
      <c r="D139" s="5"/>
      <c r="E139" s="5"/>
    </row>
    <row r="140" spans="4:5" ht="12.75">
      <c r="D140" s="5"/>
      <c r="E140" s="5"/>
    </row>
  </sheetData>
  <sheetProtection selectLockedCells="1" selectUnlockedCells="1"/>
  <mergeCells count="5">
    <mergeCell ref="C2:H2"/>
    <mergeCell ref="D4:F4"/>
    <mergeCell ref="C6:E6"/>
    <mergeCell ref="C65:E65"/>
    <mergeCell ref="C67:E6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Reinhard Douté</dc:creator>
  <cp:keywords/>
  <dc:description/>
  <cp:lastModifiedBy>Reinhard DOUTE</cp:lastModifiedBy>
  <cp:lastPrinted>2019-10-12T21:35:25Z</cp:lastPrinted>
  <dcterms:created xsi:type="dcterms:W3CDTF">2018-06-08T20:24:37Z</dcterms:created>
  <dcterms:modified xsi:type="dcterms:W3CDTF">2019-10-24T12:07:00Z</dcterms:modified>
  <cp:category/>
  <cp:version/>
  <cp:contentType/>
  <cp:contentStatus/>
  <cp:revision>160</cp:revision>
</cp:coreProperties>
</file>